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估算表" sheetId="1" r:id="rId1"/>
    <sheet name="工程建设其他费用" sheetId="2" r:id="rId2"/>
  </sheets>
  <definedNames>
    <definedName name="_xlnm.Print_Titles" localSheetId="0">估算表!$1:5</definedName>
    <definedName name="_xlnm.Print_Titles" localSheetId="1">工程建设其他费用!$1:3</definedName>
    <definedName name="_xlnm.Print_Area" localSheetId="1">工程建设其他费用!$A$1:$E$31</definedName>
  </definedNames>
  <calcPr calcId="144525"/>
</workbook>
</file>

<file path=xl/sharedStrings.xml><?xml version="1.0" encoding="utf-8"?>
<sst xmlns="http://schemas.openxmlformats.org/spreadsheetml/2006/main" count="169" uniqueCount="116">
  <si>
    <t>桂林市桂林理工大学雁山校区 7A 学生宿舍</t>
  </si>
  <si>
    <t>总投资概算表</t>
  </si>
  <si>
    <t>附表1</t>
  </si>
  <si>
    <t>单位：万元</t>
  </si>
  <si>
    <t>序号</t>
  </si>
  <si>
    <t>工程或费用名称</t>
  </si>
  <si>
    <t>概算价值</t>
  </si>
  <si>
    <t>技术经济指标</t>
  </si>
  <si>
    <t>建筑工程</t>
  </si>
  <si>
    <t>安装工程</t>
  </si>
  <si>
    <t>其他配套费用</t>
  </si>
  <si>
    <t>设备购置费用</t>
  </si>
  <si>
    <t>其他费用</t>
  </si>
  <si>
    <t>合计</t>
  </si>
  <si>
    <t>单位</t>
  </si>
  <si>
    <t>建筑面积</t>
  </si>
  <si>
    <t>单价（元）</t>
  </si>
  <si>
    <t>占总投资额比例（%）</t>
  </si>
  <si>
    <t>一</t>
  </si>
  <si>
    <t>工程费用</t>
  </si>
  <si>
    <t>㎡</t>
  </si>
  <si>
    <t>桂林理工大学雁山校区 7A 学生宿舍-土建</t>
  </si>
  <si>
    <t>桂林理工大学雁山校区 7A 学生宿舍-安装</t>
  </si>
  <si>
    <t>桂林理工大学雁山校区 7A 学生宿舍配套工程</t>
  </si>
  <si>
    <t>室外电气工程</t>
  </si>
  <si>
    <t>室外给排水工程</t>
  </si>
  <si>
    <t>室外道路</t>
  </si>
  <si>
    <t>绿化工程</t>
  </si>
  <si>
    <t>光纤入户（含光纤、设备、线缆、施工）</t>
  </si>
  <si>
    <t>桂林理工大学雁山校区 7A 学生宿舍工程设备购置费用</t>
  </si>
  <si>
    <t>太阳能热水系统</t>
  </si>
  <si>
    <t>宿舍家具购置</t>
  </si>
  <si>
    <t>宿舍空调购置</t>
  </si>
  <si>
    <t>二</t>
  </si>
  <si>
    <t>工程建设其他费用</t>
  </si>
  <si>
    <t>建设管理费</t>
  </si>
  <si>
    <t>建设单位管理费</t>
  </si>
  <si>
    <t>施工图文件设计审查费</t>
  </si>
  <si>
    <t>招标代理费（勘察设计）</t>
  </si>
  <si>
    <t>招标代理费（工程建设）</t>
  </si>
  <si>
    <t>工程造价咨询费</t>
  </si>
  <si>
    <t>1.5.1</t>
  </si>
  <si>
    <t>工程概算编制</t>
  </si>
  <si>
    <t>1.5.2</t>
  </si>
  <si>
    <t>控制价编制费</t>
  </si>
  <si>
    <t>1.5.3</t>
  </si>
  <si>
    <t>竣工结算审核费</t>
  </si>
  <si>
    <t>工程监理费</t>
  </si>
  <si>
    <t>工程勘察设计费</t>
  </si>
  <si>
    <t>工程设计费</t>
  </si>
  <si>
    <t>工程勘察费</t>
  </si>
  <si>
    <t>前期工作咨询费</t>
  </si>
  <si>
    <t>编制项目建议书费</t>
  </si>
  <si>
    <t>编制可行性研究报告费</t>
  </si>
  <si>
    <t>评估可行性研究报告费</t>
  </si>
  <si>
    <t>初步设计评审费</t>
  </si>
  <si>
    <t>场地准备及临时设施费</t>
  </si>
  <si>
    <t>工程保险费</t>
  </si>
  <si>
    <t>检验试验费</t>
  </si>
  <si>
    <t>检验试验费（建筑）</t>
  </si>
  <si>
    <t>检验试验费（安装）</t>
  </si>
  <si>
    <t>建筑垃圾外运费</t>
  </si>
  <si>
    <t>扬尘防治费</t>
  </si>
  <si>
    <t>城镇市政建设配套费</t>
  </si>
  <si>
    <t>地质灾害危险性评估费</t>
  </si>
  <si>
    <t>防空地下室易地建设费</t>
  </si>
  <si>
    <t>三</t>
  </si>
  <si>
    <t>预备费</t>
  </si>
  <si>
    <t>基本预备费（一+二+三）*5%</t>
  </si>
  <si>
    <t>涨价预备费</t>
  </si>
  <si>
    <t>四</t>
  </si>
  <si>
    <t>建设期利息(建设期银行贷款2300万，利息4.9%)</t>
  </si>
  <si>
    <t>五</t>
  </si>
  <si>
    <t>建设投资合计</t>
  </si>
  <si>
    <t xml:space="preserve">   表2    工程建设其他费用计算表</t>
  </si>
  <si>
    <t>附表1-2</t>
  </si>
  <si>
    <t>费用名称</t>
  </si>
  <si>
    <t>计算、说明</t>
  </si>
  <si>
    <t>金额</t>
  </si>
  <si>
    <t>备 注</t>
  </si>
  <si>
    <t>1+2+...+12+13</t>
  </si>
  <si>
    <t>1.1+1.2+1.3+1.4+1.5+1.6</t>
  </si>
  <si>
    <t>(20+(总投资-1000)*1.5%)</t>
  </si>
  <si>
    <t>财建【2016】504号文</t>
  </si>
  <si>
    <t>勘察设计费×6.5%</t>
  </si>
  <si>
    <t>发改价格〔2015〕299号文、桂价费〔2015〕32号文</t>
  </si>
  <si>
    <t>勘察设计费×0.8%</t>
  </si>
  <si>
    <t>桂价经字[2011]55号文</t>
  </si>
  <si>
    <t>工程费用×0.35%</t>
  </si>
  <si>
    <t>1.5.1+1.5.2+1.5.3</t>
  </si>
  <si>
    <t>桂价协字【2019】15号</t>
  </si>
  <si>
    <t>总投资×1.4‰</t>
  </si>
  <si>
    <t>总投资×3‰</t>
  </si>
  <si>
    <t>总投资×4.2‰</t>
  </si>
  <si>
    <t>（78.1+（120.8-78.1）/（5000-3000）×（工程费用-3000））</t>
  </si>
  <si>
    <t>2.1+2.2</t>
  </si>
  <si>
    <t>工程费用的0.4%计取</t>
  </si>
  <si>
    <t>3.1+3.2+3.3+3.4</t>
  </si>
  <si>
    <t>6+(14-6)*(总投资-3000)/(10000-3000)</t>
  </si>
  <si>
    <t>12+(28-12)*(总投资-3000)/(10000-3000)</t>
  </si>
  <si>
    <t>5+(10-5)*(总投资-3000)/(10000-3000)</t>
  </si>
  <si>
    <t>工程费用×1%</t>
  </si>
  <si>
    <t>桂建管（2010）87号文</t>
  </si>
  <si>
    <r>
      <rPr>
        <b/>
        <sz val="10"/>
        <rFont val="宋体"/>
        <charset val="134"/>
      </rPr>
      <t>工程费用</t>
    </r>
    <r>
      <rPr>
        <b/>
        <sz val="10"/>
        <color indexed="8"/>
        <rFont val="宋体"/>
        <charset val="134"/>
      </rPr>
      <t>×0.3%</t>
    </r>
  </si>
  <si>
    <r>
      <rPr>
        <sz val="10"/>
        <color indexed="8"/>
        <rFont val="宋体"/>
        <charset val="134"/>
      </rPr>
      <t>按工程费用的</t>
    </r>
    <r>
      <rPr>
        <sz val="10"/>
        <rFont val="Times New Roman"/>
        <charset val="134"/>
      </rPr>
      <t>0.3-0.6%</t>
    </r>
    <r>
      <rPr>
        <sz val="10"/>
        <rFont val="宋体"/>
        <charset val="134"/>
      </rPr>
      <t>计</t>
    </r>
  </si>
  <si>
    <t>桂建标【2009】7号</t>
  </si>
  <si>
    <t>建筑工程费*1.5%</t>
  </si>
  <si>
    <t>安装工程费*0.5%</t>
  </si>
  <si>
    <t>桂造价[2017]19号</t>
  </si>
  <si>
    <t>工程总造价×0.8%</t>
  </si>
  <si>
    <t>市住建[2016]34号、市住建[2016]156号文</t>
  </si>
  <si>
    <t>工程费用×1.5%</t>
  </si>
  <si>
    <t>桂政办[1986]64号</t>
  </si>
  <si>
    <t>建筑面积×3.0元/m²</t>
  </si>
  <si>
    <t>建筑面积×10元/m²</t>
  </si>
  <si>
    <t>桂价费字﹝2003﹞462号文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</si>
</sst>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;[Red]0.00"/>
  </numFmts>
  <fonts count="33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60"/>
      <name val="宋体"/>
      <charset val="134"/>
    </font>
    <font>
      <b/>
      <sz val="16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1" borderId="19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30" fillId="10" borderId="22" applyNumberFormat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3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32" applyFont="1" applyFill="1">
      <alignment vertical="center"/>
    </xf>
    <xf numFmtId="0" fontId="1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16" fillId="0" borderId="5" xfId="3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15" xfId="32" applyFont="1" applyFill="1" applyBorder="1" applyAlignment="1">
      <alignment horizontal="center" vertical="center" wrapText="1"/>
    </xf>
    <xf numFmtId="0" fontId="16" fillId="0" borderId="6" xfId="32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31" workbookViewId="0">
      <selection activeCell="O11" sqref="O11"/>
    </sheetView>
  </sheetViews>
  <sheetFormatPr defaultColWidth="9" defaultRowHeight="15.6"/>
  <cols>
    <col min="1" max="1" width="4.75" customWidth="1"/>
    <col min="2" max="2" width="38.625" customWidth="1"/>
    <col min="3" max="3" width="8.5" customWidth="1"/>
    <col min="4" max="6" width="8.75" customWidth="1"/>
    <col min="7" max="7" width="8.25" customWidth="1"/>
    <col min="8" max="8" width="8" customWidth="1"/>
    <col min="9" max="9" width="5.375" customWidth="1"/>
    <col min="10" max="10" width="8.375" customWidth="1"/>
    <col min="11" max="11" width="8.5" customWidth="1"/>
    <col min="12" max="12" width="10.625" customWidth="1"/>
  </cols>
  <sheetData>
    <row r="1" ht="32.1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7" customHeight="1" spans="1:1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16.35" spans="1:12">
      <c r="A3" t="s">
        <v>2</v>
      </c>
      <c r="J3" s="61" t="s">
        <v>3</v>
      </c>
      <c r="K3" s="61"/>
      <c r="L3" s="61"/>
    </row>
    <row r="4" ht="23.25" customHeight="1" spans="1:12">
      <c r="A4" s="35" t="s">
        <v>4</v>
      </c>
      <c r="B4" s="36" t="s">
        <v>5</v>
      </c>
      <c r="C4" s="4" t="s">
        <v>6</v>
      </c>
      <c r="D4" s="4"/>
      <c r="E4" s="4"/>
      <c r="F4" s="4"/>
      <c r="G4" s="4"/>
      <c r="H4" s="4"/>
      <c r="I4" s="4" t="s">
        <v>7</v>
      </c>
      <c r="J4" s="4"/>
      <c r="K4" s="4"/>
      <c r="L4" s="62"/>
    </row>
    <row r="5" ht="29.1" customHeight="1" spans="1:12">
      <c r="A5" s="37"/>
      <c r="B5" s="38"/>
      <c r="C5" s="38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8" t="s">
        <v>13</v>
      </c>
      <c r="I5" s="38" t="s">
        <v>14</v>
      </c>
      <c r="J5" s="38" t="s">
        <v>15</v>
      </c>
      <c r="K5" s="38" t="s">
        <v>16</v>
      </c>
      <c r="L5" s="63" t="s">
        <v>17</v>
      </c>
    </row>
    <row r="6" s="31" customFormat="1" ht="19.5" customHeight="1" spans="1:12">
      <c r="A6" s="39" t="s">
        <v>18</v>
      </c>
      <c r="B6" s="18" t="s">
        <v>19</v>
      </c>
      <c r="C6" s="40">
        <f>C7</f>
        <v>2241.681278</v>
      </c>
      <c r="D6" s="40">
        <f>D7+D11</f>
        <v>301.357423</v>
      </c>
      <c r="E6" s="40">
        <f>E10</f>
        <v>126.196286</v>
      </c>
      <c r="F6" s="40">
        <f>F16</f>
        <v>342.6</v>
      </c>
      <c r="G6" s="40"/>
      <c r="H6" s="40">
        <f>H7+H10+H16</f>
        <v>3011.834987</v>
      </c>
      <c r="I6" s="18"/>
      <c r="J6" s="18"/>
      <c r="K6" s="42"/>
      <c r="L6" s="64">
        <f>H6/H53*100</f>
        <v>82.1218421985429</v>
      </c>
    </row>
    <row r="7" s="32" customFormat="1" ht="27" customHeight="1" spans="1:12">
      <c r="A7" s="11">
        <v>1</v>
      </c>
      <c r="B7" s="18" t="s">
        <v>0</v>
      </c>
      <c r="C7" s="41">
        <f>SUM(C8:C9)</f>
        <v>2241.681278</v>
      </c>
      <c r="D7" s="41">
        <f>D9</f>
        <v>301.357423</v>
      </c>
      <c r="E7" s="41"/>
      <c r="F7" s="41"/>
      <c r="G7" s="41"/>
      <c r="H7" s="41">
        <f>SUM(H8:H9)</f>
        <v>2543.038701</v>
      </c>
      <c r="I7" s="44" t="s">
        <v>20</v>
      </c>
      <c r="J7" s="41">
        <f>J8</f>
        <v>10789.18</v>
      </c>
      <c r="K7" s="41">
        <f t="shared" ref="K7:K9" si="0">H7*10000/J7</f>
        <v>2357.02685560905</v>
      </c>
      <c r="L7" s="65"/>
    </row>
    <row r="8" s="32" customFormat="1" ht="21.95" customHeight="1" spans="1:12">
      <c r="A8" s="13">
        <v>1.1</v>
      </c>
      <c r="B8" s="14" t="s">
        <v>21</v>
      </c>
      <c r="C8" s="42">
        <f>22416812.78/10000</f>
        <v>2241.681278</v>
      </c>
      <c r="D8" s="42"/>
      <c r="E8" s="41"/>
      <c r="F8" s="41"/>
      <c r="G8" s="41"/>
      <c r="H8" s="42">
        <f>C8+D8</f>
        <v>2241.681278</v>
      </c>
      <c r="I8" s="43" t="s">
        <v>20</v>
      </c>
      <c r="J8" s="43">
        <v>10789.18</v>
      </c>
      <c r="K8" s="41">
        <f t="shared" si="0"/>
        <v>2077.71237295142</v>
      </c>
      <c r="L8" s="65"/>
    </row>
    <row r="9" ht="19.5" customHeight="1" spans="1:12">
      <c r="A9" s="13">
        <v>2.1</v>
      </c>
      <c r="B9" s="14" t="s">
        <v>22</v>
      </c>
      <c r="C9" s="42"/>
      <c r="D9" s="42">
        <f>3013574.23/10000</f>
        <v>301.357423</v>
      </c>
      <c r="E9" s="42"/>
      <c r="F9" s="42"/>
      <c r="G9" s="43"/>
      <c r="H9" s="42">
        <f>C9+D9</f>
        <v>301.357423</v>
      </c>
      <c r="I9" s="43" t="s">
        <v>20</v>
      </c>
      <c r="J9" s="43">
        <v>10789.18</v>
      </c>
      <c r="K9" s="41">
        <f t="shared" si="0"/>
        <v>279.314482657625</v>
      </c>
      <c r="L9" s="65"/>
    </row>
    <row r="10" s="32" customFormat="1" ht="27" customHeight="1" spans="1:12">
      <c r="A10" s="11">
        <v>2</v>
      </c>
      <c r="B10" s="18" t="s">
        <v>23</v>
      </c>
      <c r="C10" s="41"/>
      <c r="D10" s="41"/>
      <c r="E10" s="41">
        <f>SUM(E11:E15)</f>
        <v>126.196286</v>
      </c>
      <c r="F10" s="41"/>
      <c r="G10" s="44"/>
      <c r="H10" s="41">
        <f>E10+D10</f>
        <v>126.196286</v>
      </c>
      <c r="I10" s="44"/>
      <c r="J10" s="41"/>
      <c r="K10" s="41"/>
      <c r="L10" s="65"/>
    </row>
    <row r="11" s="32" customFormat="1" ht="19.5" customHeight="1" spans="1:12">
      <c r="A11" s="13">
        <v>2.1</v>
      </c>
      <c r="B11" s="14" t="s">
        <v>24</v>
      </c>
      <c r="C11" s="42"/>
      <c r="D11" s="42"/>
      <c r="E11" s="42">
        <f>99397.15/10000</f>
        <v>9.939715</v>
      </c>
      <c r="F11" s="42"/>
      <c r="G11" s="43"/>
      <c r="H11" s="42">
        <f t="shared" ref="H11:H14" si="1">E11</f>
        <v>9.939715</v>
      </c>
      <c r="I11" s="44"/>
      <c r="J11" s="41"/>
      <c r="K11" s="41"/>
      <c r="L11" s="65"/>
    </row>
    <row r="12" s="32" customFormat="1" ht="19.5" customHeight="1" spans="1:12">
      <c r="A12" s="13">
        <v>2.2</v>
      </c>
      <c r="B12" s="14" t="s">
        <v>25</v>
      </c>
      <c r="C12" s="42"/>
      <c r="D12" s="42"/>
      <c r="E12" s="42">
        <f>222671.29/10000</f>
        <v>22.267129</v>
      </c>
      <c r="F12" s="42"/>
      <c r="G12" s="43"/>
      <c r="H12" s="42">
        <f t="shared" si="1"/>
        <v>22.267129</v>
      </c>
      <c r="I12" s="43"/>
      <c r="J12" s="42"/>
      <c r="K12" s="42"/>
      <c r="L12" s="64"/>
    </row>
    <row r="13" s="32" customFormat="1" ht="19.5" customHeight="1" spans="1:12">
      <c r="A13" s="13">
        <v>2.3</v>
      </c>
      <c r="B13" s="14" t="s">
        <v>26</v>
      </c>
      <c r="C13" s="42"/>
      <c r="D13" s="42"/>
      <c r="E13" s="42">
        <f>254894.42/10000</f>
        <v>25.489442</v>
      </c>
      <c r="F13" s="42"/>
      <c r="G13" s="43"/>
      <c r="H13" s="42">
        <f t="shared" si="1"/>
        <v>25.489442</v>
      </c>
      <c r="I13" s="43"/>
      <c r="J13" s="42"/>
      <c r="K13" s="42"/>
      <c r="L13" s="64"/>
    </row>
    <row r="14" s="32" customFormat="1" ht="19.5" customHeight="1" spans="1:12">
      <c r="A14" s="45">
        <v>2.4</v>
      </c>
      <c r="B14" s="46" t="s">
        <v>27</v>
      </c>
      <c r="C14" s="47"/>
      <c r="D14" s="47"/>
      <c r="E14" s="47">
        <v>8.5</v>
      </c>
      <c r="F14" s="47"/>
      <c r="G14" s="48"/>
      <c r="H14" s="47">
        <f t="shared" si="1"/>
        <v>8.5</v>
      </c>
      <c r="I14" s="48"/>
      <c r="J14" s="47"/>
      <c r="K14" s="42"/>
      <c r="L14" s="64"/>
    </row>
    <row r="15" s="32" customFormat="1" ht="19.5" customHeight="1" spans="1:12">
      <c r="A15" s="43">
        <v>2.5</v>
      </c>
      <c r="B15" s="14" t="s">
        <v>28</v>
      </c>
      <c r="C15" s="42"/>
      <c r="D15" s="42"/>
      <c r="E15" s="42">
        <v>60</v>
      </c>
      <c r="F15" s="42"/>
      <c r="G15" s="43"/>
      <c r="H15" s="42">
        <v>60</v>
      </c>
      <c r="I15" s="43"/>
      <c r="J15" s="42"/>
      <c r="K15" s="66"/>
      <c r="L15" s="64"/>
    </row>
    <row r="16" s="32" customFormat="1" ht="28" customHeight="1" spans="1:12">
      <c r="A16" s="18">
        <v>4</v>
      </c>
      <c r="B16" s="18" t="s">
        <v>29</v>
      </c>
      <c r="C16" s="42"/>
      <c r="D16" s="42"/>
      <c r="E16" s="42"/>
      <c r="F16" s="41">
        <f>F17+F18+F19</f>
        <v>342.6</v>
      </c>
      <c r="G16" s="41"/>
      <c r="H16" s="41">
        <f>H17+H18+H19</f>
        <v>342.6</v>
      </c>
      <c r="I16" s="43"/>
      <c r="J16" s="42"/>
      <c r="K16" s="66"/>
      <c r="L16" s="64"/>
    </row>
    <row r="17" s="32" customFormat="1" ht="19.5" customHeight="1" spans="1:12">
      <c r="A17" s="14">
        <v>4.1</v>
      </c>
      <c r="B17" s="14" t="s">
        <v>30</v>
      </c>
      <c r="C17" s="42"/>
      <c r="D17" s="42"/>
      <c r="E17" s="42"/>
      <c r="F17" s="42">
        <v>118</v>
      </c>
      <c r="G17" s="42"/>
      <c r="H17" s="42">
        <v>118</v>
      </c>
      <c r="I17" s="43"/>
      <c r="J17" s="42"/>
      <c r="K17" s="66"/>
      <c r="L17" s="64"/>
    </row>
    <row r="18" s="32" customFormat="1" ht="19.5" customHeight="1" spans="1:12">
      <c r="A18" s="14">
        <v>4.2</v>
      </c>
      <c r="B18" s="49" t="s">
        <v>31</v>
      </c>
      <c r="C18" s="42"/>
      <c r="D18" s="42"/>
      <c r="E18" s="42"/>
      <c r="F18" s="42">
        <v>142.4</v>
      </c>
      <c r="G18" s="42"/>
      <c r="H18" s="42">
        <v>142.4</v>
      </c>
      <c r="I18" s="43"/>
      <c r="J18" s="42"/>
      <c r="K18" s="66"/>
      <c r="L18" s="64"/>
    </row>
    <row r="19" s="32" customFormat="1" ht="19.5" customHeight="1" spans="1:12">
      <c r="A19" s="14">
        <v>4.3</v>
      </c>
      <c r="B19" s="49" t="s">
        <v>32</v>
      </c>
      <c r="C19" s="42"/>
      <c r="D19" s="42"/>
      <c r="E19" s="42"/>
      <c r="F19" s="42">
        <v>82.2</v>
      </c>
      <c r="G19" s="42"/>
      <c r="H19" s="42">
        <v>82.2</v>
      </c>
      <c r="I19" s="43"/>
      <c r="J19" s="42"/>
      <c r="K19" s="66"/>
      <c r="L19" s="64"/>
    </row>
    <row r="20" s="32" customFormat="1" ht="27" customHeight="1" spans="1:12">
      <c r="A20" s="18" t="s">
        <v>33</v>
      </c>
      <c r="B20" s="18" t="s">
        <v>34</v>
      </c>
      <c r="C20" s="44"/>
      <c r="D20" s="40"/>
      <c r="E20" s="40"/>
      <c r="F20" s="40"/>
      <c r="G20" s="40">
        <v>427.370174845848</v>
      </c>
      <c r="H20" s="40">
        <f t="shared" ref="H20:H38" si="2">G20</f>
        <v>427.370174845848</v>
      </c>
      <c r="I20" s="18"/>
      <c r="J20" s="18"/>
      <c r="K20" s="67"/>
      <c r="L20" s="64">
        <f>H20/H53*100</f>
        <v>11.6528382897939</v>
      </c>
    </row>
    <row r="21" s="32" customFormat="1" ht="19.5" customHeight="1" spans="1:12">
      <c r="A21" s="43">
        <v>1</v>
      </c>
      <c r="B21" s="38" t="s">
        <v>35</v>
      </c>
      <c r="C21" s="44"/>
      <c r="D21" s="44"/>
      <c r="E21" s="44"/>
      <c r="F21" s="44"/>
      <c r="G21" s="50">
        <v>173.377248202805</v>
      </c>
      <c r="H21" s="50">
        <f t="shared" si="2"/>
        <v>173.377248202805</v>
      </c>
      <c r="I21" s="18"/>
      <c r="J21" s="18"/>
      <c r="K21" s="67"/>
      <c r="L21" s="68"/>
    </row>
    <row r="22" ht="19.5" customHeight="1" spans="1:12">
      <c r="A22" s="43">
        <v>1.1</v>
      </c>
      <c r="B22" s="14" t="s">
        <v>36</v>
      </c>
      <c r="C22" s="14"/>
      <c r="D22" s="14"/>
      <c r="E22" s="14"/>
      <c r="F22" s="14"/>
      <c r="G22" s="42">
        <v>50.177524805</v>
      </c>
      <c r="H22" s="50">
        <f t="shared" si="2"/>
        <v>50.177524805</v>
      </c>
      <c r="I22" s="14"/>
      <c r="J22" s="14"/>
      <c r="K22" s="69"/>
      <c r="L22" s="10"/>
    </row>
    <row r="23" ht="19.5" customHeight="1" spans="1:12">
      <c r="A23" s="43">
        <v>1.2</v>
      </c>
      <c r="B23" s="14" t="s">
        <v>37</v>
      </c>
      <c r="C23" s="14"/>
      <c r="D23" s="14"/>
      <c r="E23" s="14"/>
      <c r="F23" s="14"/>
      <c r="G23" s="42">
        <v>6.95807709662</v>
      </c>
      <c r="H23" s="50">
        <f t="shared" si="2"/>
        <v>6.95807709662</v>
      </c>
      <c r="I23" s="14"/>
      <c r="J23" s="14"/>
      <c r="K23" s="69"/>
      <c r="L23" s="10"/>
    </row>
    <row r="24" ht="19.5" customHeight="1" spans="1:12">
      <c r="A24" s="43">
        <v>1.3</v>
      </c>
      <c r="B24" s="14" t="s">
        <v>38</v>
      </c>
      <c r="C24" s="14"/>
      <c r="D24" s="14"/>
      <c r="E24" s="14"/>
      <c r="F24" s="14"/>
      <c r="G24" s="42">
        <v>0.856378719584</v>
      </c>
      <c r="H24" s="50">
        <f t="shared" si="2"/>
        <v>0.856378719584</v>
      </c>
      <c r="I24" s="14"/>
      <c r="J24" s="14"/>
      <c r="K24" s="69"/>
      <c r="L24" s="10"/>
    </row>
    <row r="25" ht="19.5" customHeight="1" spans="1:12">
      <c r="A25" s="43">
        <v>1.4</v>
      </c>
      <c r="B25" s="14" t="s">
        <v>39</v>
      </c>
      <c r="C25" s="14"/>
      <c r="D25" s="14"/>
      <c r="E25" s="14"/>
      <c r="F25" s="14"/>
      <c r="G25" s="42">
        <v>10.5414224545</v>
      </c>
      <c r="H25" s="50">
        <f t="shared" si="2"/>
        <v>10.5414224545</v>
      </c>
      <c r="I25" s="14"/>
      <c r="J25" s="14"/>
      <c r="K25" s="69"/>
      <c r="L25" s="10"/>
    </row>
    <row r="26" ht="19.5" customHeight="1" spans="1:12">
      <c r="A26" s="43">
        <v>1.5</v>
      </c>
      <c r="B26" s="14" t="s">
        <v>40</v>
      </c>
      <c r="C26" s="14"/>
      <c r="D26" s="14"/>
      <c r="E26" s="14"/>
      <c r="F26" s="14"/>
      <c r="G26" s="42">
        <v>26.491168154651</v>
      </c>
      <c r="H26" s="50">
        <f t="shared" si="2"/>
        <v>26.491168154651</v>
      </c>
      <c r="I26" s="14"/>
      <c r="J26" s="14"/>
      <c r="K26" s="69"/>
      <c r="L26" s="10"/>
    </row>
    <row r="27" ht="19.5" customHeight="1" spans="1:12">
      <c r="A27" s="43" t="s">
        <v>41</v>
      </c>
      <c r="B27" s="14" t="s">
        <v>42</v>
      </c>
      <c r="C27" s="14"/>
      <c r="D27" s="14"/>
      <c r="E27" s="14"/>
      <c r="F27" s="14"/>
      <c r="G27" s="42">
        <v>4.31251574610599</v>
      </c>
      <c r="H27" s="50">
        <f t="shared" si="2"/>
        <v>4.31251574610599</v>
      </c>
      <c r="I27" s="14"/>
      <c r="J27" s="14"/>
      <c r="K27" s="69"/>
      <c r="L27" s="10"/>
    </row>
    <row r="28" ht="19.5" customHeight="1" spans="1:12">
      <c r="A28" s="43" t="s">
        <v>43</v>
      </c>
      <c r="B28" s="17" t="s">
        <v>44</v>
      </c>
      <c r="C28" s="14"/>
      <c r="D28" s="14"/>
      <c r="E28" s="14"/>
      <c r="F28" s="14"/>
      <c r="G28" s="42">
        <v>9.24110517022711</v>
      </c>
      <c r="H28" s="50">
        <f t="shared" si="2"/>
        <v>9.24110517022711</v>
      </c>
      <c r="I28" s="14"/>
      <c r="J28" s="43"/>
      <c r="K28" s="70"/>
      <c r="L28" s="71"/>
    </row>
    <row r="29" s="33" customFormat="1" ht="19.5" customHeight="1" spans="1:12">
      <c r="A29" s="43" t="s">
        <v>45</v>
      </c>
      <c r="B29" s="17" t="s">
        <v>46</v>
      </c>
      <c r="C29" s="51"/>
      <c r="D29" s="51"/>
      <c r="E29" s="51"/>
      <c r="F29" s="51"/>
      <c r="G29" s="50">
        <v>12.937547238318</v>
      </c>
      <c r="H29" s="50">
        <f t="shared" si="2"/>
        <v>12.937547238318</v>
      </c>
      <c r="I29" s="51"/>
      <c r="J29" s="51"/>
      <c r="K29" s="72"/>
      <c r="L29" s="73"/>
    </row>
    <row r="30" s="33" customFormat="1" ht="19.5" customHeight="1" spans="1:12">
      <c r="A30" s="43">
        <v>1.6</v>
      </c>
      <c r="B30" s="14" t="s">
        <v>47</v>
      </c>
      <c r="C30" s="51"/>
      <c r="D30" s="51"/>
      <c r="E30" s="51"/>
      <c r="F30" s="51"/>
      <c r="G30" s="50">
        <v>78.35267697245</v>
      </c>
      <c r="H30" s="50">
        <f t="shared" si="2"/>
        <v>78.35267697245</v>
      </c>
      <c r="I30" s="51"/>
      <c r="J30" s="51"/>
      <c r="K30" s="72"/>
      <c r="L30" s="73"/>
    </row>
    <row r="31" s="33" customFormat="1" ht="19.5" customHeight="1" spans="1:12">
      <c r="A31" s="43">
        <v>2</v>
      </c>
      <c r="B31" s="14" t="s">
        <v>48</v>
      </c>
      <c r="C31" s="51"/>
      <c r="D31" s="51"/>
      <c r="E31" s="51"/>
      <c r="F31" s="51"/>
      <c r="G31" s="50">
        <v>107.047339948</v>
      </c>
      <c r="H31" s="50">
        <f t="shared" si="2"/>
        <v>107.047339948</v>
      </c>
      <c r="I31" s="51"/>
      <c r="J31" s="51"/>
      <c r="K31" s="72"/>
      <c r="L31" s="73"/>
    </row>
    <row r="32" s="33" customFormat="1" ht="19.5" customHeight="1" spans="1:12">
      <c r="A32" s="52">
        <v>2.1</v>
      </c>
      <c r="B32" s="20" t="s">
        <v>49</v>
      </c>
      <c r="C32" s="51"/>
      <c r="D32" s="51"/>
      <c r="E32" s="51"/>
      <c r="F32" s="51"/>
      <c r="G32" s="50">
        <v>95</v>
      </c>
      <c r="H32" s="50">
        <f t="shared" si="2"/>
        <v>95</v>
      </c>
      <c r="I32" s="51"/>
      <c r="J32" s="51"/>
      <c r="K32" s="72"/>
      <c r="L32" s="73"/>
    </row>
    <row r="33" s="33" customFormat="1" ht="19.5" customHeight="1" spans="1:12">
      <c r="A33" s="43">
        <v>2.2</v>
      </c>
      <c r="B33" s="14" t="s">
        <v>50</v>
      </c>
      <c r="C33" s="51"/>
      <c r="D33" s="51"/>
      <c r="E33" s="51"/>
      <c r="F33" s="51"/>
      <c r="G33" s="50">
        <v>12.047339948</v>
      </c>
      <c r="H33" s="50">
        <f t="shared" si="2"/>
        <v>12.047339948</v>
      </c>
      <c r="I33" s="51"/>
      <c r="J33" s="51"/>
      <c r="K33" s="72"/>
      <c r="L33" s="73"/>
    </row>
    <row r="34" s="33" customFormat="1" ht="19.5" customHeight="1" spans="1:12">
      <c r="A34" s="43">
        <v>3</v>
      </c>
      <c r="B34" s="14" t="s">
        <v>51</v>
      </c>
      <c r="C34" s="51"/>
      <c r="D34" s="51"/>
      <c r="E34" s="51"/>
      <c r="F34" s="51"/>
      <c r="G34" s="50">
        <v>29.4611906908428</v>
      </c>
      <c r="H34" s="50">
        <f t="shared" si="2"/>
        <v>29.4611906908428</v>
      </c>
      <c r="I34" s="51"/>
      <c r="J34" s="51"/>
      <c r="K34" s="72"/>
      <c r="L34" s="73"/>
    </row>
    <row r="35" ht="19.5" customHeight="1" spans="1:12">
      <c r="A35" s="43">
        <v>3.1</v>
      </c>
      <c r="B35" s="14" t="s">
        <v>52</v>
      </c>
      <c r="C35" s="20"/>
      <c r="D35" s="20"/>
      <c r="E35" s="20"/>
      <c r="F35" s="20"/>
      <c r="G35" s="50">
        <v>6.33401094302949</v>
      </c>
      <c r="H35" s="50">
        <f t="shared" si="2"/>
        <v>6.33401094302949</v>
      </c>
      <c r="I35" s="20"/>
      <c r="J35" s="20"/>
      <c r="K35" s="74"/>
      <c r="L35" s="22"/>
    </row>
    <row r="36" ht="19.5" customHeight="1" spans="1:12">
      <c r="A36" s="43">
        <v>3.2</v>
      </c>
      <c r="B36" s="14" t="s">
        <v>53</v>
      </c>
      <c r="C36" s="14"/>
      <c r="D36" s="14"/>
      <c r="E36" s="14"/>
      <c r="F36" s="14"/>
      <c r="G36" s="50">
        <v>12.6824996253573</v>
      </c>
      <c r="H36" s="50">
        <f t="shared" si="2"/>
        <v>12.6824996253573</v>
      </c>
      <c r="I36" s="14"/>
      <c r="J36" s="14"/>
      <c r="K36" s="69"/>
      <c r="L36" s="10"/>
    </row>
    <row r="37" ht="19.5" customHeight="1" spans="1:12">
      <c r="A37" s="43">
        <v>3.3</v>
      </c>
      <c r="B37" s="14" t="s">
        <v>54</v>
      </c>
      <c r="C37" s="14"/>
      <c r="D37" s="14"/>
      <c r="E37" s="14"/>
      <c r="F37" s="14"/>
      <c r="G37" s="50">
        <v>5.22234006122799</v>
      </c>
      <c r="H37" s="50">
        <f t="shared" si="2"/>
        <v>5.22234006122799</v>
      </c>
      <c r="I37" s="14"/>
      <c r="J37" s="14"/>
      <c r="K37" s="69"/>
      <c r="L37" s="10"/>
    </row>
    <row r="38" ht="19.5" customHeight="1" spans="1:12">
      <c r="A38" s="43">
        <v>3.4</v>
      </c>
      <c r="B38" s="14" t="s">
        <v>55</v>
      </c>
      <c r="C38" s="14"/>
      <c r="D38" s="14"/>
      <c r="E38" s="14"/>
      <c r="F38" s="14"/>
      <c r="G38" s="50">
        <v>5.22234006122799</v>
      </c>
      <c r="H38" s="50">
        <f t="shared" si="2"/>
        <v>5.22234006122799</v>
      </c>
      <c r="I38" s="14"/>
      <c r="J38" s="14"/>
      <c r="K38" s="69"/>
      <c r="L38" s="10"/>
    </row>
    <row r="39" ht="19.5" customHeight="1" spans="1:12">
      <c r="A39" s="43">
        <v>4</v>
      </c>
      <c r="B39" s="20" t="s">
        <v>56</v>
      </c>
      <c r="C39" s="14"/>
      <c r="D39" s="14"/>
      <c r="E39" s="14"/>
      <c r="F39" s="14"/>
      <c r="G39" s="50">
        <v>30.11834987</v>
      </c>
      <c r="H39" s="50">
        <f t="shared" ref="H39:H50" si="3">G39</f>
        <v>30.11834987</v>
      </c>
      <c r="I39" s="14"/>
      <c r="J39" s="14"/>
      <c r="K39" s="69"/>
      <c r="L39" s="10"/>
    </row>
    <row r="40" ht="19.5" customHeight="1" spans="1:12">
      <c r="A40" s="43">
        <v>5</v>
      </c>
      <c r="B40" s="14" t="s">
        <v>57</v>
      </c>
      <c r="C40" s="14"/>
      <c r="D40" s="14"/>
      <c r="E40" s="14"/>
      <c r="F40" s="14"/>
      <c r="G40" s="50">
        <v>9.035504961</v>
      </c>
      <c r="H40" s="50">
        <f t="shared" si="3"/>
        <v>9.035504961</v>
      </c>
      <c r="I40" s="14"/>
      <c r="J40" s="14"/>
      <c r="K40" s="69"/>
      <c r="L40" s="10"/>
    </row>
    <row r="41" ht="19.5" customHeight="1" spans="1:12">
      <c r="A41" s="43">
        <v>6</v>
      </c>
      <c r="B41" s="20" t="s">
        <v>58</v>
      </c>
      <c r="C41" s="14"/>
      <c r="D41" s="14"/>
      <c r="E41" s="14"/>
      <c r="F41" s="14"/>
      <c r="G41" s="50">
        <v>35.132006285</v>
      </c>
      <c r="H41" s="50">
        <f t="shared" si="3"/>
        <v>35.132006285</v>
      </c>
      <c r="I41" s="14"/>
      <c r="J41" s="14"/>
      <c r="K41" s="69"/>
      <c r="L41" s="10"/>
    </row>
    <row r="42" ht="19.5" customHeight="1" spans="1:12">
      <c r="A42" s="43">
        <v>6.1</v>
      </c>
      <c r="B42" s="20" t="s">
        <v>59</v>
      </c>
      <c r="C42" s="14"/>
      <c r="D42" s="14"/>
      <c r="E42" s="14"/>
      <c r="F42" s="14"/>
      <c r="G42" s="50">
        <v>33.62521917</v>
      </c>
      <c r="H42" s="50">
        <f t="shared" si="3"/>
        <v>33.62521917</v>
      </c>
      <c r="I42" s="14"/>
      <c r="J42" s="14"/>
      <c r="K42" s="69"/>
      <c r="L42" s="10"/>
    </row>
    <row r="43" ht="19.5" customHeight="1" spans="1:12">
      <c r="A43" s="43">
        <v>6.2</v>
      </c>
      <c r="B43" s="20" t="s">
        <v>60</v>
      </c>
      <c r="C43" s="14"/>
      <c r="D43" s="14"/>
      <c r="E43" s="14"/>
      <c r="F43" s="14"/>
      <c r="G43" s="50">
        <v>1.506787115</v>
      </c>
      <c r="H43" s="50">
        <f t="shared" si="3"/>
        <v>1.506787115</v>
      </c>
      <c r="I43" s="14"/>
      <c r="J43" s="14"/>
      <c r="K43" s="69"/>
      <c r="L43" s="10"/>
    </row>
    <row r="44" ht="19.5" customHeight="1" spans="1:12">
      <c r="A44" s="43">
        <v>7</v>
      </c>
      <c r="B44" s="53" t="s">
        <v>61</v>
      </c>
      <c r="C44" s="14"/>
      <c r="D44" s="14"/>
      <c r="E44" s="14"/>
      <c r="F44" s="14"/>
      <c r="G44" s="50">
        <v>3.36</v>
      </c>
      <c r="H44" s="50">
        <f t="shared" si="3"/>
        <v>3.36</v>
      </c>
      <c r="I44" s="14"/>
      <c r="J44" s="14"/>
      <c r="K44" s="69"/>
      <c r="L44" s="10"/>
    </row>
    <row r="45" ht="19.5" customHeight="1" spans="1:12">
      <c r="A45" s="43">
        <v>8</v>
      </c>
      <c r="B45" s="53" t="s">
        <v>62</v>
      </c>
      <c r="C45" s="14"/>
      <c r="D45" s="14"/>
      <c r="E45" s="14"/>
      <c r="F45" s="14"/>
      <c r="G45" s="50">
        <v>24.094679896</v>
      </c>
      <c r="H45" s="50">
        <f t="shared" si="3"/>
        <v>24.094679896</v>
      </c>
      <c r="I45" s="14"/>
      <c r="J45" s="14"/>
      <c r="K45" s="69"/>
      <c r="L45" s="10"/>
    </row>
    <row r="46" ht="19.5" customHeight="1" spans="1:12">
      <c r="A46" s="43">
        <v>9</v>
      </c>
      <c r="B46" s="14" t="s">
        <v>63</v>
      </c>
      <c r="C46" s="14"/>
      <c r="D46" s="14"/>
      <c r="E46" s="14"/>
      <c r="F46" s="14"/>
      <c r="G46" s="50">
        <v>1.8071009922</v>
      </c>
      <c r="H46" s="50">
        <f t="shared" si="3"/>
        <v>1.8071009922</v>
      </c>
      <c r="I46" s="14"/>
      <c r="J46" s="14"/>
      <c r="K46" s="69"/>
      <c r="L46" s="10"/>
    </row>
    <row r="47" ht="19.5" customHeight="1" spans="1:12">
      <c r="A47" s="43">
        <v>10</v>
      </c>
      <c r="B47" s="14" t="s">
        <v>64</v>
      </c>
      <c r="C47" s="14"/>
      <c r="D47" s="14"/>
      <c r="E47" s="14"/>
      <c r="F47" s="14"/>
      <c r="G47" s="50">
        <v>3.236754</v>
      </c>
      <c r="H47" s="50">
        <f t="shared" si="3"/>
        <v>3.236754</v>
      </c>
      <c r="I47" s="14"/>
      <c r="J47" s="14"/>
      <c r="K47" s="69"/>
      <c r="L47" s="10"/>
    </row>
    <row r="48" ht="19.5" customHeight="1" spans="1:12">
      <c r="A48" s="43">
        <v>11</v>
      </c>
      <c r="B48" s="14" t="s">
        <v>65</v>
      </c>
      <c r="C48" s="14"/>
      <c r="D48" s="14"/>
      <c r="E48" s="14"/>
      <c r="F48" s="14"/>
      <c r="G48" s="50">
        <v>10.7</v>
      </c>
      <c r="H48" s="50">
        <f t="shared" si="3"/>
        <v>10.7</v>
      </c>
      <c r="I48" s="14"/>
      <c r="J48" s="14"/>
      <c r="K48" s="69"/>
      <c r="L48" s="10"/>
    </row>
    <row r="49" s="32" customFormat="1" ht="19.5" customHeight="1" spans="1:12">
      <c r="A49" s="18" t="s">
        <v>66</v>
      </c>
      <c r="B49" s="18" t="s">
        <v>67</v>
      </c>
      <c r="C49" s="18"/>
      <c r="D49" s="18"/>
      <c r="E49" s="18"/>
      <c r="F49" s="18"/>
      <c r="G49" s="54">
        <f>H49</f>
        <v>171.960258092292</v>
      </c>
      <c r="H49" s="54">
        <f>(H20+H6)*0.05</f>
        <v>171.960258092292</v>
      </c>
      <c r="I49" s="18"/>
      <c r="J49" s="18"/>
      <c r="K49" s="67"/>
      <c r="L49" s="64">
        <f>H49/H53*100</f>
        <v>4.68873402441684</v>
      </c>
    </row>
    <row r="50" ht="24" customHeight="1" spans="1:12">
      <c r="A50" s="43">
        <v>3.1</v>
      </c>
      <c r="B50" s="14" t="s">
        <v>68</v>
      </c>
      <c r="C50" s="14"/>
      <c r="D50" s="14"/>
      <c r="E50" s="14"/>
      <c r="F50" s="14"/>
      <c r="G50" s="55">
        <f>G49</f>
        <v>171.960258092292</v>
      </c>
      <c r="H50" s="55">
        <f>H49</f>
        <v>171.960258092292</v>
      </c>
      <c r="I50" s="14"/>
      <c r="J50" s="14"/>
      <c r="K50" s="69"/>
      <c r="L50" s="10"/>
    </row>
    <row r="51" ht="19.5" customHeight="1" spans="1:12">
      <c r="A51" s="43">
        <v>3.2</v>
      </c>
      <c r="B51" s="14" t="s">
        <v>69</v>
      </c>
      <c r="C51" s="14"/>
      <c r="D51" s="14"/>
      <c r="E51" s="14"/>
      <c r="F51" s="14"/>
      <c r="G51" s="55">
        <v>0</v>
      </c>
      <c r="H51" s="55">
        <v>0</v>
      </c>
      <c r="I51" s="14"/>
      <c r="J51" s="14"/>
      <c r="K51" s="69"/>
      <c r="L51" s="10"/>
    </row>
    <row r="52" ht="19.5" customHeight="1" spans="1:12">
      <c r="A52" s="56" t="s">
        <v>70</v>
      </c>
      <c r="B52" s="57" t="s">
        <v>71</v>
      </c>
      <c r="C52" s="57"/>
      <c r="D52" s="57"/>
      <c r="E52" s="57"/>
      <c r="F52" s="57"/>
      <c r="G52" s="58">
        <v>56.36</v>
      </c>
      <c r="H52" s="58">
        <v>56.36</v>
      </c>
      <c r="I52" s="75"/>
      <c r="J52" s="75"/>
      <c r="K52" s="14"/>
      <c r="L52" s="64">
        <f>H52/H53*100</f>
        <v>1.53673326934822</v>
      </c>
    </row>
    <row r="53" ht="19.5" customHeight="1" spans="1:12">
      <c r="A53" s="59" t="s">
        <v>72</v>
      </c>
      <c r="B53" s="28" t="s">
        <v>73</v>
      </c>
      <c r="C53" s="60"/>
      <c r="D53" s="60"/>
      <c r="E53" s="60"/>
      <c r="F53" s="60"/>
      <c r="G53" s="60">
        <f>H53</f>
        <v>3667.52</v>
      </c>
      <c r="H53" s="60">
        <v>3667.52</v>
      </c>
      <c r="I53" s="28"/>
      <c r="J53" s="28"/>
      <c r="K53" s="28"/>
      <c r="L53" s="76">
        <v>100</v>
      </c>
    </row>
  </sheetData>
  <mergeCells count="7">
    <mergeCell ref="A1:K1"/>
    <mergeCell ref="A2:K2"/>
    <mergeCell ref="J3:K3"/>
    <mergeCell ref="C4:H4"/>
    <mergeCell ref="I4:L4"/>
    <mergeCell ref="A4:A5"/>
    <mergeCell ref="B4:B5"/>
  </mergeCells>
  <pageMargins left="0.55" right="0.313888888888889" top="0.275" bottom="0.354166666666667" header="0.16875" footer="0.16875"/>
  <pageSetup paperSize="9" scale="9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32" sqref="D4:D32"/>
    </sheetView>
  </sheetViews>
  <sheetFormatPr defaultColWidth="9" defaultRowHeight="15.6" outlineLevelCol="4"/>
  <cols>
    <col min="1" max="1" width="5.875" customWidth="1"/>
    <col min="2" max="2" width="29.75" customWidth="1"/>
    <col min="3" max="3" width="33.5" customWidth="1"/>
    <col min="4" max="4" width="9.75" customWidth="1"/>
    <col min="5" max="5" width="41.25" customWidth="1"/>
  </cols>
  <sheetData>
    <row r="1" ht="21.95" customHeight="1" spans="1:5">
      <c r="A1" s="1" t="s">
        <v>74</v>
      </c>
      <c r="B1" s="1"/>
      <c r="C1" s="1"/>
      <c r="D1" s="1"/>
      <c r="E1" s="1"/>
    </row>
    <row r="2" ht="18" customHeight="1" spans="1:5">
      <c r="A2" s="2" t="s">
        <v>75</v>
      </c>
      <c r="D2" s="2"/>
      <c r="E2" s="2" t="s">
        <v>3</v>
      </c>
    </row>
    <row r="3" ht="21.95" customHeight="1" spans="1:5">
      <c r="A3" s="3" t="s">
        <v>4</v>
      </c>
      <c r="B3" s="4" t="s">
        <v>76</v>
      </c>
      <c r="C3" s="4" t="s">
        <v>77</v>
      </c>
      <c r="D3" s="5" t="s">
        <v>78</v>
      </c>
      <c r="E3" s="6" t="s">
        <v>79</v>
      </c>
    </row>
    <row r="4" ht="24" customHeight="1" spans="1:5">
      <c r="A4" s="7"/>
      <c r="B4" s="8" t="s">
        <v>34</v>
      </c>
      <c r="C4" s="8" t="s">
        <v>80</v>
      </c>
      <c r="D4" s="9">
        <f>D5+D15+D18+D23+D24++D29+D25+D28+D30+D31+D32</f>
        <v>427.370174845848</v>
      </c>
      <c r="E4" s="10"/>
    </row>
    <row r="5" ht="24" customHeight="1" spans="1:5">
      <c r="A5" s="11">
        <v>1</v>
      </c>
      <c r="B5" s="8" t="s">
        <v>35</v>
      </c>
      <c r="C5" s="12" t="s">
        <v>81</v>
      </c>
      <c r="D5" s="9">
        <f>D6+D10+D7+D8+D9+D14</f>
        <v>173.377248202805</v>
      </c>
      <c r="E5" s="10"/>
    </row>
    <row r="6" ht="24" customHeight="1" spans="1:5">
      <c r="A6" s="13">
        <v>1.1</v>
      </c>
      <c r="B6" s="14" t="s">
        <v>36</v>
      </c>
      <c r="C6" s="14" t="s">
        <v>82</v>
      </c>
      <c r="D6" s="15">
        <f>(20+(估算表!H6-1000)*1.5%)</f>
        <v>50.177524805</v>
      </c>
      <c r="E6" s="10" t="s">
        <v>83</v>
      </c>
    </row>
    <row r="7" ht="24" customHeight="1" spans="1:5">
      <c r="A7" s="13">
        <v>1.2</v>
      </c>
      <c r="B7" s="14" t="s">
        <v>37</v>
      </c>
      <c r="C7" s="14" t="s">
        <v>84</v>
      </c>
      <c r="D7" s="15">
        <f>D15*0.065</f>
        <v>6.95807709662</v>
      </c>
      <c r="E7" s="10" t="s">
        <v>85</v>
      </c>
    </row>
    <row r="8" ht="24" customHeight="1" spans="1:5">
      <c r="A8" s="13">
        <v>1.3</v>
      </c>
      <c r="B8" s="14" t="s">
        <v>38</v>
      </c>
      <c r="C8" s="14" t="s">
        <v>86</v>
      </c>
      <c r="D8" s="15">
        <f>D15*0.8%</f>
        <v>0.856378719584</v>
      </c>
      <c r="E8" s="10" t="s">
        <v>87</v>
      </c>
    </row>
    <row r="9" ht="24" customHeight="1" spans="1:5">
      <c r="A9" s="13">
        <v>1.4</v>
      </c>
      <c r="B9" s="14" t="s">
        <v>39</v>
      </c>
      <c r="C9" s="14" t="s">
        <v>88</v>
      </c>
      <c r="D9" s="15">
        <f>估算表!H6*0.35%</f>
        <v>10.5414224545</v>
      </c>
      <c r="E9" s="10" t="s">
        <v>85</v>
      </c>
    </row>
    <row r="10" ht="24" customHeight="1" spans="1:5">
      <c r="A10" s="13">
        <v>1.5</v>
      </c>
      <c r="B10" s="14" t="s">
        <v>40</v>
      </c>
      <c r="C10" s="16" t="s">
        <v>89</v>
      </c>
      <c r="D10" s="15">
        <f>D12+D13+D11</f>
        <v>26.491168154651</v>
      </c>
      <c r="E10" s="10" t="s">
        <v>90</v>
      </c>
    </row>
    <row r="11" ht="24" customHeight="1" spans="1:5">
      <c r="A11" s="13" t="s">
        <v>41</v>
      </c>
      <c r="B11" s="14" t="s">
        <v>42</v>
      </c>
      <c r="C11" s="16" t="s">
        <v>91</v>
      </c>
      <c r="D11" s="15">
        <f>(估算表!H6+D6+D7+D8+D9)*0.0014</f>
        <v>4.31251574610599</v>
      </c>
      <c r="E11" s="10" t="s">
        <v>90</v>
      </c>
    </row>
    <row r="12" ht="24" customHeight="1" spans="1:5">
      <c r="A12" s="13" t="s">
        <v>43</v>
      </c>
      <c r="B12" s="17" t="s">
        <v>44</v>
      </c>
      <c r="C12" s="16" t="s">
        <v>92</v>
      </c>
      <c r="D12" s="15">
        <f>(估算表!H6+D6+D7+D8+D9)*0.003</f>
        <v>9.24110517022711</v>
      </c>
      <c r="E12" s="10" t="s">
        <v>90</v>
      </c>
    </row>
    <row r="13" ht="24" customHeight="1" spans="1:5">
      <c r="A13" s="13" t="s">
        <v>45</v>
      </c>
      <c r="B13" s="17" t="s">
        <v>46</v>
      </c>
      <c r="C13" s="16" t="s">
        <v>93</v>
      </c>
      <c r="D13" s="15">
        <f>(估算表!H6+D6+D7+D8+D9)*0.0042</f>
        <v>12.937547238318</v>
      </c>
      <c r="E13" s="10" t="s">
        <v>90</v>
      </c>
    </row>
    <row r="14" ht="24" customHeight="1" spans="1:5">
      <c r="A14" s="13">
        <v>1.6</v>
      </c>
      <c r="B14" s="14" t="s">
        <v>47</v>
      </c>
      <c r="C14" s="14" t="s">
        <v>94</v>
      </c>
      <c r="D14" s="15">
        <f>(78.1+(120.8-78.1)/(5000-3000)*(估算表!H6-3000))</f>
        <v>78.35267697245</v>
      </c>
      <c r="E14" s="10" t="s">
        <v>85</v>
      </c>
    </row>
    <row r="15" ht="24" customHeight="1" spans="1:5">
      <c r="A15" s="11">
        <v>2</v>
      </c>
      <c r="B15" s="18" t="s">
        <v>48</v>
      </c>
      <c r="C15" s="18" t="s">
        <v>95</v>
      </c>
      <c r="D15" s="9">
        <f>D16+D17</f>
        <v>107.047339948</v>
      </c>
      <c r="E15" s="10" t="s">
        <v>85</v>
      </c>
    </row>
    <row r="16" ht="24" customHeight="1" spans="1:5">
      <c r="A16" s="19">
        <v>2.1</v>
      </c>
      <c r="B16" s="20" t="s">
        <v>49</v>
      </c>
      <c r="C16" s="14"/>
      <c r="D16" s="15">
        <v>95</v>
      </c>
      <c r="E16" s="10" t="s">
        <v>85</v>
      </c>
    </row>
    <row r="17" ht="24" customHeight="1" spans="1:5">
      <c r="A17" s="13">
        <v>2.2</v>
      </c>
      <c r="B17" s="14" t="s">
        <v>50</v>
      </c>
      <c r="C17" s="14" t="s">
        <v>96</v>
      </c>
      <c r="D17" s="15">
        <f>估算表!H6*0.4%</f>
        <v>12.047339948</v>
      </c>
      <c r="E17" s="10" t="s">
        <v>85</v>
      </c>
    </row>
    <row r="18" ht="24" customHeight="1" spans="1:5">
      <c r="A18" s="11">
        <v>3</v>
      </c>
      <c r="B18" s="18" t="s">
        <v>51</v>
      </c>
      <c r="C18" s="21" t="s">
        <v>97</v>
      </c>
      <c r="D18" s="9">
        <f>D19+D20+D22+D21</f>
        <v>29.4611906908428</v>
      </c>
      <c r="E18" s="10" t="s">
        <v>85</v>
      </c>
    </row>
    <row r="19" ht="24" customHeight="1" spans="1:5">
      <c r="A19" s="13">
        <v>3.1</v>
      </c>
      <c r="B19" s="14" t="s">
        <v>52</v>
      </c>
      <c r="C19" s="14" t="s">
        <v>98</v>
      </c>
      <c r="D19" s="15">
        <f>6+(14-6)*(估算表!H6+D5+D15-3000)/(10000-3000)</f>
        <v>6.33401094302949</v>
      </c>
      <c r="E19" s="10" t="s">
        <v>85</v>
      </c>
    </row>
    <row r="20" ht="24" customHeight="1" spans="1:5">
      <c r="A20" s="13">
        <v>3.2</v>
      </c>
      <c r="B20" s="14" t="s">
        <v>53</v>
      </c>
      <c r="C20" s="14" t="s">
        <v>99</v>
      </c>
      <c r="D20" s="15">
        <f>12+(28-12)*(估算表!H6+D5+D15+D19-3000)/(10000-3000)</f>
        <v>12.6824996253573</v>
      </c>
      <c r="E20" s="10" t="s">
        <v>85</v>
      </c>
    </row>
    <row r="21" ht="24" customHeight="1" spans="1:5">
      <c r="A21" s="13">
        <v>3.3</v>
      </c>
      <c r="B21" s="14" t="s">
        <v>54</v>
      </c>
      <c r="C21" s="14" t="s">
        <v>100</v>
      </c>
      <c r="D21" s="15">
        <f>5+(10-5)*(估算表!H6+D5+D15+D19+D20-3000)/(10000-3000)</f>
        <v>5.22234006122799</v>
      </c>
      <c r="E21" s="10" t="s">
        <v>85</v>
      </c>
    </row>
    <row r="22" ht="24" customHeight="1" spans="1:5">
      <c r="A22" s="13">
        <v>3.4</v>
      </c>
      <c r="B22" s="14" t="s">
        <v>55</v>
      </c>
      <c r="C22" s="14" t="s">
        <v>100</v>
      </c>
      <c r="D22" s="15">
        <f>D21</f>
        <v>5.22234006122799</v>
      </c>
      <c r="E22" s="10" t="s">
        <v>85</v>
      </c>
    </row>
    <row r="23" ht="24" customHeight="1" spans="1:5">
      <c r="A23" s="11">
        <v>4</v>
      </c>
      <c r="B23" s="21" t="s">
        <v>56</v>
      </c>
      <c r="C23" s="18" t="s">
        <v>101</v>
      </c>
      <c r="D23" s="9">
        <f>估算表!H6*0.01</f>
        <v>30.11834987</v>
      </c>
      <c r="E23" s="10" t="s">
        <v>102</v>
      </c>
    </row>
    <row r="24" ht="24" customHeight="1" spans="1:5">
      <c r="A24" s="11">
        <v>5</v>
      </c>
      <c r="B24" s="18" t="s">
        <v>57</v>
      </c>
      <c r="C24" s="18" t="s">
        <v>103</v>
      </c>
      <c r="D24" s="9">
        <f>估算表!H6*0.003</f>
        <v>9.035504961</v>
      </c>
      <c r="E24" s="22" t="s">
        <v>104</v>
      </c>
    </row>
    <row r="25" ht="24" customHeight="1" spans="1:5">
      <c r="A25" s="11">
        <v>6</v>
      </c>
      <c r="B25" s="21" t="s">
        <v>58</v>
      </c>
      <c r="C25" s="21"/>
      <c r="D25" s="9">
        <f>D26+D27</f>
        <v>35.132006285</v>
      </c>
      <c r="E25" s="23" t="s">
        <v>105</v>
      </c>
    </row>
    <row r="26" ht="24" customHeight="1" spans="1:5">
      <c r="A26" s="13">
        <v>6.1</v>
      </c>
      <c r="B26" s="20" t="s">
        <v>59</v>
      </c>
      <c r="C26" s="20" t="s">
        <v>106</v>
      </c>
      <c r="D26" s="15">
        <f>估算表!C6*0.015</f>
        <v>33.62521917</v>
      </c>
      <c r="E26" s="23" t="s">
        <v>105</v>
      </c>
    </row>
    <row r="27" ht="24" customHeight="1" spans="1:5">
      <c r="A27" s="13">
        <v>6.2</v>
      </c>
      <c r="B27" s="20" t="s">
        <v>60</v>
      </c>
      <c r="C27" s="20" t="s">
        <v>107</v>
      </c>
      <c r="D27" s="15">
        <f>估算表!D6*0.005</f>
        <v>1.506787115</v>
      </c>
      <c r="E27" s="23" t="s">
        <v>105</v>
      </c>
    </row>
    <row r="28" ht="24" customHeight="1" spans="1:5">
      <c r="A28" s="11">
        <v>7</v>
      </c>
      <c r="B28" s="24" t="s">
        <v>61</v>
      </c>
      <c r="C28" s="25"/>
      <c r="D28" s="9">
        <v>3.36</v>
      </c>
      <c r="E28" s="10" t="s">
        <v>108</v>
      </c>
    </row>
    <row r="29" ht="24" customHeight="1" spans="1:5">
      <c r="A29" s="11">
        <v>8</v>
      </c>
      <c r="B29" s="24" t="s">
        <v>62</v>
      </c>
      <c r="C29" s="18" t="s">
        <v>109</v>
      </c>
      <c r="D29" s="9">
        <f>估算表!H6*0.008</f>
        <v>24.094679896</v>
      </c>
      <c r="E29" s="23" t="s">
        <v>110</v>
      </c>
    </row>
    <row r="30" ht="24" customHeight="1" spans="1:5">
      <c r="A30" s="11">
        <v>9</v>
      </c>
      <c r="B30" s="18" t="s">
        <v>63</v>
      </c>
      <c r="C30" s="18" t="s">
        <v>111</v>
      </c>
      <c r="D30" s="9">
        <f>6*估算表!H6/10000</f>
        <v>1.8071009922</v>
      </c>
      <c r="E30" s="26" t="s">
        <v>112</v>
      </c>
    </row>
    <row r="31" ht="24" customHeight="1" spans="1:5">
      <c r="A31" s="11">
        <v>10</v>
      </c>
      <c r="B31" s="18" t="s">
        <v>64</v>
      </c>
      <c r="C31" s="18" t="s">
        <v>113</v>
      </c>
      <c r="D31" s="9">
        <f>估算表!J7*3/10000</f>
        <v>3.236754</v>
      </c>
      <c r="E31" s="10"/>
    </row>
    <row r="32" ht="24" customHeight="1" spans="1:5">
      <c r="A32" s="27">
        <v>11</v>
      </c>
      <c r="B32" s="28" t="s">
        <v>65</v>
      </c>
      <c r="C32" s="28" t="s">
        <v>114</v>
      </c>
      <c r="D32" s="29">
        <v>10.7</v>
      </c>
      <c r="E32" s="30" t="s">
        <v>115</v>
      </c>
    </row>
  </sheetData>
  <mergeCells count="1">
    <mergeCell ref="A1:E1"/>
  </mergeCells>
  <pageMargins left="0.826388888888889" right="0.747916666666667" top="0.432638888888889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估算表</vt:lpstr>
      <vt:lpstr>工程建设其他费用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钟明然</cp:lastModifiedBy>
  <dcterms:created xsi:type="dcterms:W3CDTF">2016-06-14T00:19:00Z</dcterms:created>
  <cp:lastPrinted>2016-09-04T04:25:00Z</cp:lastPrinted>
  <dcterms:modified xsi:type="dcterms:W3CDTF">2019-10-10T00:57:19Z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